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225" yWindow="-120" windowWidth="12390" windowHeight="12030"/>
  </bookViews>
  <sheets>
    <sheet name="ITC.STWDE.FY12-PROJ" sheetId="1" r:id="rId1"/>
    <sheet name="Sheet1" sheetId="2" r:id="rId2"/>
  </sheets>
  <definedNames>
    <definedName name="_xlnm.Print_Area" localSheetId="0">'ITC.STWDE.FY12-PROJ'!$A$1:$M$124</definedName>
    <definedName name="_xlnm.Print_Titles" localSheetId="0">'ITC.STWDE.FY12-PROJ'!$1:$10</definedName>
  </definedNames>
  <calcPr calcId="145621" fullCalcOnLoad="1"/>
</workbook>
</file>

<file path=xl/calcChain.xml><?xml version="1.0" encoding="utf-8"?>
<calcChain xmlns="http://schemas.openxmlformats.org/spreadsheetml/2006/main">
  <c r="I44" i="1"/>
  <c r="M44"/>
  <c r="I90"/>
  <c r="I89"/>
  <c r="I101"/>
  <c r="M101"/>
  <c r="I67"/>
  <c r="I110"/>
  <c r="I96"/>
  <c r="I97"/>
  <c r="I79"/>
  <c r="K79"/>
  <c r="I61"/>
  <c r="I85"/>
  <c r="I56"/>
  <c r="I55"/>
  <c r="I62"/>
  <c r="I84"/>
  <c r="I45"/>
  <c r="I41"/>
  <c r="I40"/>
  <c r="I28"/>
  <c r="I71"/>
  <c r="K71"/>
  <c r="I80"/>
  <c r="I76"/>
  <c r="M55"/>
  <c r="I63"/>
  <c r="M63"/>
  <c r="M67"/>
  <c r="K62"/>
  <c r="M41"/>
  <c r="K30"/>
  <c r="K33"/>
  <c r="K20"/>
  <c r="C26" i="2"/>
  <c r="F11" i="1"/>
  <c r="I18"/>
  <c r="K18"/>
  <c r="M18"/>
  <c r="K19"/>
  <c r="M19"/>
  <c r="K23"/>
  <c r="M23"/>
  <c r="K24"/>
  <c r="M24"/>
  <c r="K28"/>
  <c r="M28"/>
  <c r="K29"/>
  <c r="M29"/>
  <c r="M30"/>
  <c r="A33"/>
  <c r="F33"/>
  <c r="G33"/>
  <c r="H33"/>
  <c r="I33"/>
  <c r="M33"/>
  <c r="K39"/>
  <c r="M40"/>
  <c r="K41"/>
  <c r="K44"/>
  <c r="K49"/>
  <c r="K45"/>
  <c r="M45"/>
  <c r="K46"/>
  <c r="A49"/>
  <c r="F49"/>
  <c r="K55"/>
  <c r="K56"/>
  <c r="M56"/>
  <c r="K57"/>
  <c r="K58"/>
  <c r="M58"/>
  <c r="K61"/>
  <c r="M61"/>
  <c r="M62"/>
  <c r="K63"/>
  <c r="A66"/>
  <c r="I70"/>
  <c r="K70"/>
  <c r="M70"/>
  <c r="M71"/>
  <c r="K72"/>
  <c r="K73"/>
  <c r="M73"/>
  <c r="K76"/>
  <c r="M76"/>
  <c r="I77"/>
  <c r="K77"/>
  <c r="M77"/>
  <c r="I78"/>
  <c r="K78"/>
  <c r="M78"/>
  <c r="M79"/>
  <c r="K80"/>
  <c r="M80"/>
  <c r="K81"/>
  <c r="M81"/>
  <c r="K84"/>
  <c r="M84"/>
  <c r="K85"/>
  <c r="M85"/>
  <c r="K86"/>
  <c r="K87"/>
  <c r="K88"/>
  <c r="K89"/>
  <c r="K90"/>
  <c r="M90"/>
  <c r="I91"/>
  <c r="K91"/>
  <c r="M91"/>
  <c r="K94"/>
  <c r="K95"/>
  <c r="K96"/>
  <c r="M96"/>
  <c r="K97"/>
  <c r="M97"/>
  <c r="K98"/>
  <c r="K99"/>
  <c r="M99"/>
  <c r="A101"/>
  <c r="F101"/>
  <c r="A104"/>
  <c r="K104"/>
  <c r="M104"/>
  <c r="F107"/>
  <c r="I112"/>
  <c r="A124"/>
  <c r="K67"/>
  <c r="I49"/>
  <c r="M49"/>
  <c r="K40"/>
  <c r="M20"/>
  <c r="K101"/>
  <c r="K107"/>
  <c r="I107"/>
  <c r="M107"/>
  <c r="I111"/>
  <c r="I114"/>
</calcChain>
</file>

<file path=xl/sharedStrings.xml><?xml version="1.0" encoding="utf-8"?>
<sst xmlns="http://schemas.openxmlformats.org/spreadsheetml/2006/main" count="143" uniqueCount="103">
  <si>
    <t>Idaho Recreation Initiative</t>
  </si>
  <si>
    <t>Webmaster</t>
  </si>
  <si>
    <t>Snowmobile Advertising</t>
  </si>
  <si>
    <t xml:space="preserve"> </t>
  </si>
  <si>
    <t>1.  Print Program</t>
  </si>
  <si>
    <t>2.  Web Program</t>
  </si>
  <si>
    <t>43rd State Brochure (Children's)</t>
  </si>
  <si>
    <t>Phone (All 800 #'s)</t>
  </si>
  <si>
    <t>Mail (Domestic, International)</t>
  </si>
  <si>
    <t>Equipment Upgrades</t>
  </si>
  <si>
    <t>2.  Website</t>
  </si>
  <si>
    <t>TOTAL PROGRAM OPERATIONS</t>
  </si>
  <si>
    <t>Media Advertising</t>
  </si>
  <si>
    <t>Vacation Guides</t>
  </si>
  <si>
    <t>Rocky Mountain International</t>
  </si>
  <si>
    <t>FAM Tours</t>
  </si>
  <si>
    <t>Trade Shows</t>
  </si>
  <si>
    <t>Foreign Office Support</t>
  </si>
  <si>
    <t>Advertising Agency Projects</t>
  </si>
  <si>
    <t>Reports/Subscriptions</t>
  </si>
  <si>
    <t>Online Advertising</t>
  </si>
  <si>
    <t>TOTAL STATEWIDE PROGRAM COSTS</t>
  </si>
  <si>
    <t>BUDGET</t>
  </si>
  <si>
    <t>B.   PROGRAM OPERATIONS</t>
  </si>
  <si>
    <t>LESS:  State Tax Commission Fee</t>
  </si>
  <si>
    <t>TOTAL ADVERTISING/PROMOTION</t>
  </si>
  <si>
    <t>Travel Guide Lite</t>
  </si>
  <si>
    <t>Email Marketing</t>
  </si>
  <si>
    <t>IDAHO TRAVEL COUNCIL</t>
  </si>
  <si>
    <t>STATE PROGRAM BUDGET</t>
  </si>
  <si>
    <t>A.  YEAR ROUND PROGRAM:</t>
  </si>
  <si>
    <t>1.  Program Operation</t>
  </si>
  <si>
    <t>a.</t>
  </si>
  <si>
    <t>Staff</t>
  </si>
  <si>
    <t>b.</t>
  </si>
  <si>
    <t>c.</t>
  </si>
  <si>
    <t>Press Releases, Newsletters/Kits</t>
  </si>
  <si>
    <t>PR Promotions/Press Trips</t>
  </si>
  <si>
    <t>d.</t>
  </si>
  <si>
    <t>e.</t>
  </si>
  <si>
    <t>f.</t>
  </si>
  <si>
    <t>Gateway Visitor Center Support</t>
  </si>
  <si>
    <t>Advertising Specialties/Poster</t>
  </si>
  <si>
    <t>% of Total</t>
  </si>
  <si>
    <t>Highway Map</t>
  </si>
  <si>
    <t>TOTAL YEAR-ROUND PROGRAM</t>
  </si>
  <si>
    <t>Traveler Profile Study</t>
  </si>
  <si>
    <t>Contract Labor - fulfillment</t>
  </si>
  <si>
    <t>1.  Fulfillment</t>
  </si>
  <si>
    <t>Clipping Service</t>
  </si>
  <si>
    <t>Pod - Cast Creation</t>
  </si>
  <si>
    <t>Focus Groups</t>
  </si>
  <si>
    <t xml:space="preserve">b.  </t>
  </si>
  <si>
    <t xml:space="preserve">STATEWIDE CASH BALANCE </t>
  </si>
  <si>
    <t>g.</t>
  </si>
  <si>
    <t>National Geographic</t>
  </si>
  <si>
    <t xml:space="preserve">D.  CONTINGENCY </t>
  </si>
  <si>
    <t>IDAHO DEPARTMENT OF COMMERCE</t>
  </si>
  <si>
    <t>Summer FSI</t>
  </si>
  <si>
    <t>Canada</t>
  </si>
  <si>
    <t>Film Publications</t>
  </si>
  <si>
    <t>Niche Brochures</t>
  </si>
  <si>
    <t>%</t>
  </si>
  <si>
    <t>SPENT</t>
  </si>
  <si>
    <t>Travel</t>
  </si>
  <si>
    <t>Website CRM subscriptions</t>
  </si>
  <si>
    <t>Promotional Assistance/workshops</t>
  </si>
  <si>
    <t xml:space="preserve">Film </t>
  </si>
  <si>
    <t>DIFFERENCE</t>
  </si>
  <si>
    <t>Scandinavia/Australia Marketing Effort</t>
  </si>
  <si>
    <t>VisitIdaho.org</t>
  </si>
  <si>
    <t>UpdateIdaho.com</t>
  </si>
  <si>
    <t>Filmidaho.com</t>
  </si>
  <si>
    <t>Idaho Golf Trail</t>
  </si>
  <si>
    <t>Idaho Winter</t>
  </si>
  <si>
    <t>Kids N Nature</t>
  </si>
  <si>
    <t>Websites</t>
  </si>
  <si>
    <t>GIG</t>
  </si>
  <si>
    <t>Mobile</t>
  </si>
  <si>
    <t>Whitewater</t>
  </si>
  <si>
    <t>Commerce</t>
  </si>
  <si>
    <t>Hosting</t>
  </si>
  <si>
    <t>Scenic</t>
  </si>
  <si>
    <t>Governmental Overhead Fees</t>
  </si>
  <si>
    <t>C.  ADVERTISING, MARKETING &amp; PROMOTION</t>
  </si>
  <si>
    <t>Sports Marketing</t>
  </si>
  <si>
    <t>h.</t>
  </si>
  <si>
    <t>Film Grants</t>
  </si>
  <si>
    <t>Economic Impact Brochure</t>
  </si>
  <si>
    <t>Lewis &amp; Clark</t>
  </si>
  <si>
    <t>2. Education/Research</t>
  </si>
  <si>
    <t>3.  Year-Round Promotions/Partnerships</t>
  </si>
  <si>
    <t>3.  Winter Marketing &amp; Promotion</t>
  </si>
  <si>
    <t>4. Public/Industry Relations</t>
  </si>
  <si>
    <t>5.  International</t>
  </si>
  <si>
    <t>6.  Other Promotions</t>
  </si>
  <si>
    <t>7.  Other Publications</t>
  </si>
  <si>
    <t>EXPENDITURES</t>
  </si>
  <si>
    <t>FY2013 STATEWIDE PROGRAM BUDGET</t>
  </si>
  <si>
    <t>FY2013</t>
  </si>
  <si>
    <t>TOTAL RECEIPTS TO DATE + FY12 BALANCE FORWARD</t>
  </si>
  <si>
    <t>LESS:  FY2013 Expenditures to date</t>
  </si>
  <si>
    <t>JULY 1, 2012 - FEBRUARY 28, 2013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</si>
</sst>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.00\ ;\(#,##0.00\)"/>
    <numFmt numFmtId="165" formatCode="0.0%"/>
    <numFmt numFmtId="166" formatCode="#,##0.00;\(#,##0.00\)"/>
    <numFmt numFmtId="167" formatCode="&quot;$&quot;\ \ #,##0.00;\(&quot;$&quot;#,##0.00\)"/>
    <numFmt numFmtId="168" formatCode="&quot;$&quot;#,##0.00;\(&quot;$&quot;#,##0.00\)"/>
    <numFmt numFmtId="169" formatCode="&quot;$&quot;#,##0.00"/>
    <numFmt numFmtId="170" formatCode="#,##0.00\ \ ;\(#,##0.00\)"/>
    <numFmt numFmtId="172" formatCode="#,##0.0000000000"/>
  </numFmts>
  <fonts count="7">
    <font>
      <sz val="9"/>
      <name val="Geneva"/>
    </font>
    <font>
      <b/>
      <sz val="9"/>
      <name val="Geneva"/>
    </font>
    <font>
      <sz val="10"/>
      <name val="Geneva"/>
    </font>
    <font>
      <b/>
      <sz val="10"/>
      <name val="Geneva"/>
    </font>
    <font>
      <sz val="9"/>
      <name val="Geneva"/>
    </font>
    <font>
      <sz val="8"/>
      <name val="Geneva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7" fontId="1" fillId="0" borderId="0" xfId="0" applyNumberFormat="1" applyFont="1"/>
    <xf numFmtId="7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8" fontId="1" fillId="0" borderId="1" xfId="0" applyNumberFormat="1" applyFont="1" applyBorder="1"/>
    <xf numFmtId="0" fontId="3" fillId="0" borderId="0" xfId="0" applyFont="1" applyAlignment="1">
      <alignment horizontal="left"/>
    </xf>
    <xf numFmtId="7" fontId="0" fillId="0" borderId="0" xfId="0" applyNumberFormat="1" applyAlignment="1">
      <alignment horizontal="left"/>
    </xf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1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4" fontId="0" fillId="0" borderId="0" xfId="0" applyNumberFormat="1"/>
    <xf numFmtId="167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" fontId="3" fillId="0" borderId="0" xfId="1" applyFont="1" applyAlignment="1">
      <alignment horizontal="center"/>
    </xf>
    <xf numFmtId="4" fontId="1" fillId="0" borderId="0" xfId="1" applyFont="1"/>
    <xf numFmtId="4" fontId="0" fillId="0" borderId="0" xfId="1" applyFont="1"/>
    <xf numFmtId="8" fontId="0" fillId="0" borderId="0" xfId="2" applyFont="1"/>
    <xf numFmtId="8" fontId="1" fillId="0" borderId="0" xfId="2" applyFont="1"/>
    <xf numFmtId="0" fontId="3" fillId="0" borderId="0" xfId="0" applyFont="1" applyBorder="1" applyAlignment="1">
      <alignment horizontal="center"/>
    </xf>
    <xf numFmtId="4" fontId="3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Border="1"/>
    <xf numFmtId="168" fontId="1" fillId="0" borderId="0" xfId="0" applyNumberFormat="1" applyFont="1" applyBorder="1"/>
    <xf numFmtId="166" fontId="1" fillId="0" borderId="0" xfId="0" applyNumberFormat="1" applyFont="1"/>
    <xf numFmtId="166" fontId="1" fillId="0" borderId="0" xfId="1" applyNumberFormat="1" applyFont="1" applyBorder="1"/>
    <xf numFmtId="0" fontId="0" fillId="0" borderId="0" xfId="0" applyNumberFormat="1" applyAlignment="1">
      <alignment horizontal="left"/>
    </xf>
    <xf numFmtId="4" fontId="3" fillId="0" borderId="2" xfId="1" applyFont="1" applyBorder="1" applyAlignment="1">
      <alignment horizontal="center"/>
    </xf>
    <xf numFmtId="168" fontId="1" fillId="0" borderId="0" xfId="0" applyNumberFormat="1" applyFont="1" applyBorder="1" applyAlignment="1">
      <alignment horizontal="right"/>
    </xf>
    <xf numFmtId="169" fontId="1" fillId="0" borderId="0" xfId="0" applyNumberFormat="1" applyFont="1" applyBorder="1"/>
    <xf numFmtId="166" fontId="1" fillId="0" borderId="0" xfId="0" applyNumberFormat="1" applyFont="1" applyBorder="1"/>
    <xf numFmtId="0" fontId="0" fillId="0" borderId="0" xfId="0" applyBorder="1"/>
    <xf numFmtId="167" fontId="1" fillId="0" borderId="1" xfId="2" applyNumberFormat="1" applyFont="1" applyBorder="1"/>
    <xf numFmtId="167" fontId="1" fillId="0" borderId="0" xfId="2" applyNumberFormat="1" applyFon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166" fontId="0" fillId="0" borderId="0" xfId="0" applyNumberFormat="1" applyAlignment="1">
      <alignment horizontal="centerContinuous"/>
    </xf>
    <xf numFmtId="15" fontId="3" fillId="0" borderId="0" xfId="0" applyNumberFormat="1" applyFont="1" applyAlignment="1">
      <alignment horizontal="centerContinuous"/>
    </xf>
    <xf numFmtId="8" fontId="1" fillId="0" borderId="0" xfId="2" applyFont="1" applyBorder="1"/>
    <xf numFmtId="0" fontId="1" fillId="0" borderId="2" xfId="0" applyFont="1" applyBorder="1" applyAlignment="1">
      <alignment horizontal="center"/>
    </xf>
    <xf numFmtId="170" fontId="0" fillId="0" borderId="0" xfId="0" applyNumberFormat="1"/>
    <xf numFmtId="7" fontId="1" fillId="0" borderId="0" xfId="2" applyNumberFormat="1" applyFont="1" applyBorder="1"/>
    <xf numFmtId="39" fontId="0" fillId="0" borderId="0" xfId="1" applyNumberFormat="1" applyFont="1"/>
    <xf numFmtId="7" fontId="4" fillId="0" borderId="0" xfId="0" applyNumberFormat="1" applyFont="1"/>
    <xf numFmtId="172" fontId="1" fillId="0" borderId="0" xfId="1" applyNumberFormat="1" applyFont="1"/>
    <xf numFmtId="10" fontId="3" fillId="0" borderId="2" xfId="3" applyNumberFormat="1" applyFont="1" applyBorder="1" applyAlignment="1">
      <alignment horizontal="center"/>
    </xf>
    <xf numFmtId="0" fontId="4" fillId="0" borderId="0" xfId="0" applyFont="1"/>
    <xf numFmtId="39" fontId="4" fillId="0" borderId="0" xfId="1" applyNumberFormat="1" applyFont="1"/>
    <xf numFmtId="9" fontId="1" fillId="0" borderId="0" xfId="0" applyNumberFormat="1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1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3" fillId="0" borderId="0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7" fontId="4" fillId="0" borderId="0" xfId="0" applyNumberFormat="1" applyFont="1" applyAlignment="1">
      <alignment horizontal="left"/>
    </xf>
    <xf numFmtId="7" fontId="1" fillId="0" borderId="3" xfId="0" applyNumberFormat="1" applyFont="1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4" fontId="4" fillId="0" borderId="0" xfId="1" applyFont="1"/>
    <xf numFmtId="7" fontId="3" fillId="0" borderId="0" xfId="0" applyNumberFormat="1" applyFont="1" applyAlignment="1">
      <alignment horizontal="left"/>
    </xf>
    <xf numFmtId="169" fontId="1" fillId="0" borderId="1" xfId="0" applyNumberFormat="1" applyFont="1" applyBorder="1"/>
    <xf numFmtId="0" fontId="5" fillId="0" borderId="0" xfId="0" applyFont="1" applyBorder="1" applyAlignment="1">
      <alignment horizontal="left" wrapText="1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3" applyFont="1" applyAlignment="1">
      <alignment horizontal="center"/>
    </xf>
    <xf numFmtId="165" fontId="1" fillId="0" borderId="0" xfId="0" applyNumberFormat="1" applyFont="1" applyAlignment="1">
      <alignment horizontal="center"/>
    </xf>
    <xf numFmtId="9" fontId="1" fillId="0" borderId="0" xfId="0" applyNumberFormat="1" applyFont="1" applyBorder="1" applyAlignment="1">
      <alignment horizontal="center"/>
    </xf>
    <xf numFmtId="4" fontId="4" fillId="0" borderId="0" xfId="1" applyFont="1" applyAlignment="1">
      <alignment horizontal="left"/>
    </xf>
    <xf numFmtId="4" fontId="1" fillId="0" borderId="0" xfId="1" applyFont="1" applyAlignment="1">
      <alignment horizontal="left"/>
    </xf>
    <xf numFmtId="39" fontId="0" fillId="0" borderId="0" xfId="0" applyNumberFormat="1"/>
    <xf numFmtId="10" fontId="3" fillId="0" borderId="0" xfId="3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7" fontId="1" fillId="0" borderId="0" xfId="0" applyNumberFormat="1" applyFont="1" applyBorder="1"/>
    <xf numFmtId="39" fontId="1" fillId="0" borderId="0" xfId="0" applyNumberFormat="1" applyFont="1"/>
    <xf numFmtId="10" fontId="0" fillId="0" borderId="0" xfId="0" applyNumberFormat="1"/>
    <xf numFmtId="0" fontId="6" fillId="0" borderId="0" xfId="0" applyFont="1" applyAlignment="1">
      <alignment horizontal="left" indent="7"/>
    </xf>
    <xf numFmtId="0" fontId="6" fillId="0" borderId="0" xfId="0" applyFont="1" applyAlignment="1">
      <alignment horizontal="left" indent="12"/>
    </xf>
    <xf numFmtId="7" fontId="1" fillId="0" borderId="1" xfId="0" applyNumberFormat="1" applyFont="1" applyBorder="1"/>
    <xf numFmtId="0" fontId="0" fillId="0" borderId="0" xfId="0" applyNumberFormat="1"/>
    <xf numFmtId="6" fontId="0" fillId="0" borderId="0" xfId="0" applyNumberFormat="1"/>
    <xf numFmtId="10" fontId="1" fillId="0" borderId="1" xfId="0" applyNumberFormat="1" applyFont="1" applyBorder="1" applyAlignment="1">
      <alignment horizontal="center"/>
    </xf>
    <xf numFmtId="8" fontId="1" fillId="2" borderId="1" xfId="2" applyFont="1" applyFill="1" applyBorder="1"/>
    <xf numFmtId="10" fontId="1" fillId="0" borderId="0" xfId="0" applyNumberFormat="1" applyFont="1" applyBorder="1" applyAlignment="1">
      <alignment horizontal="center"/>
    </xf>
    <xf numFmtId="10" fontId="1" fillId="0" borderId="1" xfId="3" applyNumberFormat="1" applyFont="1" applyBorder="1" applyAlignment="1">
      <alignment horizontal="center"/>
    </xf>
    <xf numFmtId="39" fontId="0" fillId="0" borderId="0" xfId="1" applyNumberFormat="1" applyFont="1" applyAlignment="1">
      <alignment horizontal="centerContinuous"/>
    </xf>
    <xf numFmtId="39" fontId="1" fillId="0" borderId="0" xfId="1" applyNumberFormat="1" applyFont="1" applyAlignment="1">
      <alignment horizontal="center"/>
    </xf>
    <xf numFmtId="39" fontId="3" fillId="0" borderId="0" xfId="1" applyNumberFormat="1" applyFont="1" applyAlignment="1">
      <alignment horizontal="center"/>
    </xf>
    <xf numFmtId="39" fontId="3" fillId="0" borderId="0" xfId="1" applyNumberFormat="1" applyFont="1" applyBorder="1" applyAlignment="1">
      <alignment horizontal="center"/>
    </xf>
    <xf numFmtId="39" fontId="3" fillId="0" borderId="2" xfId="1" applyNumberFormat="1" applyFont="1" applyBorder="1" applyAlignment="1">
      <alignment horizontal="center"/>
    </xf>
    <xf numFmtId="39" fontId="1" fillId="0" borderId="0" xfId="1" applyNumberFormat="1" applyFont="1" applyBorder="1"/>
    <xf numFmtId="39" fontId="2" fillId="0" borderId="0" xfId="1" applyNumberFormat="1" applyFont="1"/>
    <xf numFmtId="39" fontId="0" fillId="0" borderId="0" xfId="1" applyNumberFormat="1" applyFont="1" applyFill="1"/>
    <xf numFmtId="39" fontId="4" fillId="0" borderId="0" xfId="1" applyNumberFormat="1" applyFont="1" applyFill="1"/>
    <xf numFmtId="39" fontId="0" fillId="0" borderId="0" xfId="1" applyNumberFormat="1" applyFont="1" applyBorder="1"/>
    <xf numFmtId="39" fontId="1" fillId="0" borderId="0" xfId="1" applyNumberFormat="1" applyFont="1"/>
    <xf numFmtId="7" fontId="1" fillId="0" borderId="1" xfId="1" applyNumberFormat="1" applyFont="1" applyBorder="1"/>
    <xf numFmtId="7" fontId="1" fillId="0" borderId="0" xfId="1" applyNumberFormat="1" applyFont="1" applyBorder="1"/>
    <xf numFmtId="7" fontId="1" fillId="0" borderId="2" xfId="1" applyNumberFormat="1" applyFont="1" applyBorder="1"/>
    <xf numFmtId="10" fontId="1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topLeftCell="A84" zoomScale="150" zoomScaleNormal="150" workbookViewId="0">
      <selection activeCell="N87" sqref="N87"/>
    </sheetView>
  </sheetViews>
  <sheetFormatPr defaultColWidth="9.85546875" defaultRowHeight="12"/>
  <cols>
    <col min="1" max="1" width="6.85546875" style="5" customWidth="1"/>
    <col min="2" max="2" width="2.5703125" style="5" customWidth="1"/>
    <col min="3" max="3" width="2.140625" style="5" customWidth="1"/>
    <col min="4" max="4" width="2.85546875" style="5" customWidth="1"/>
    <col min="5" max="5" width="30.7109375" style="5" customWidth="1"/>
    <col min="6" max="6" width="13.85546875" customWidth="1"/>
    <col min="7" max="7" width="0.85546875" customWidth="1"/>
    <col min="8" max="8" width="1" customWidth="1"/>
    <col min="9" max="9" width="15.5703125" style="48" customWidth="1"/>
    <col min="10" max="10" width="1.85546875" customWidth="1"/>
    <col min="11" max="11" width="15.140625" style="11" customWidth="1"/>
    <col min="12" max="12" width="1.85546875" style="11" customWidth="1"/>
    <col min="13" max="13" width="9.7109375" style="11" customWidth="1"/>
    <col min="14" max="14" width="17.85546875" style="21" customWidth="1"/>
  </cols>
  <sheetData>
    <row r="1" spans="1:14" ht="12.75">
      <c r="A1" s="39" t="s">
        <v>57</v>
      </c>
      <c r="B1" s="40"/>
      <c r="C1" s="40"/>
      <c r="D1" s="40"/>
      <c r="E1" s="40"/>
      <c r="F1" s="40"/>
      <c r="G1" s="41"/>
      <c r="H1" s="40"/>
      <c r="I1" s="95"/>
      <c r="J1" s="40"/>
      <c r="K1" s="42"/>
      <c r="L1" s="42"/>
      <c r="M1" s="42"/>
    </row>
    <row r="2" spans="1:14" ht="12.75">
      <c r="A2" s="39" t="s">
        <v>28</v>
      </c>
      <c r="B2" s="40"/>
      <c r="C2" s="40"/>
      <c r="D2" s="40"/>
      <c r="E2" s="40"/>
      <c r="F2" s="40"/>
      <c r="G2" s="41"/>
      <c r="H2" s="40"/>
      <c r="I2" s="95"/>
      <c r="J2" s="40"/>
      <c r="K2" s="42"/>
      <c r="L2" s="42"/>
      <c r="M2" s="42"/>
    </row>
    <row r="3" spans="1:14" ht="12.75">
      <c r="A3" s="39" t="s">
        <v>98</v>
      </c>
      <c r="B3" s="41"/>
      <c r="C3" s="41"/>
      <c r="D3" s="41"/>
      <c r="E3" s="40"/>
      <c r="F3" s="40"/>
      <c r="G3" s="41"/>
      <c r="H3" s="40"/>
      <c r="I3" s="95"/>
      <c r="J3" s="40"/>
      <c r="K3" s="42"/>
      <c r="L3" s="42"/>
      <c r="M3" s="42"/>
    </row>
    <row r="4" spans="1:14" ht="12.75">
      <c r="A4" s="111" t="s">
        <v>102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4" ht="12.75">
      <c r="A5" s="43"/>
      <c r="B5" s="40"/>
      <c r="C5" s="40"/>
      <c r="D5" s="40"/>
      <c r="E5" s="40"/>
      <c r="G5" s="41"/>
      <c r="H5" s="40"/>
      <c r="I5" s="96"/>
      <c r="J5" s="40"/>
      <c r="K5" s="42"/>
      <c r="L5" s="42"/>
      <c r="M5" s="42"/>
    </row>
    <row r="6" spans="1:14" s="1" customFormat="1" ht="12.75">
      <c r="A6" s="5"/>
      <c r="B6" s="5"/>
      <c r="C6" s="5"/>
      <c r="D6" s="5"/>
      <c r="E6" s="5"/>
      <c r="F6" s="39" t="s">
        <v>99</v>
      </c>
      <c r="G6" s="2"/>
      <c r="H6" s="14"/>
      <c r="I6" s="97" t="s">
        <v>99</v>
      </c>
      <c r="J6" s="15"/>
      <c r="K6" s="19"/>
      <c r="L6" s="19"/>
      <c r="M6" s="26" t="s">
        <v>62</v>
      </c>
      <c r="N6" s="20"/>
    </row>
    <row r="7" spans="1:14" s="1" customFormat="1" ht="12.75">
      <c r="A7" s="5"/>
      <c r="B7" s="5"/>
      <c r="C7" s="5"/>
      <c r="D7" s="5"/>
      <c r="E7" s="5"/>
      <c r="F7" s="61" t="s">
        <v>22</v>
      </c>
      <c r="G7" s="2"/>
      <c r="I7" s="98" t="s">
        <v>97</v>
      </c>
      <c r="K7" s="61" t="s">
        <v>68</v>
      </c>
      <c r="L7" s="24"/>
      <c r="M7" s="24" t="s">
        <v>63</v>
      </c>
      <c r="N7" s="20"/>
    </row>
    <row r="8" spans="1:14" s="1" customFormat="1" ht="12.75">
      <c r="A8" s="6"/>
      <c r="B8" s="6"/>
      <c r="C8" s="6"/>
      <c r="D8" s="6"/>
      <c r="E8" s="6"/>
      <c r="F8" s="32"/>
      <c r="G8" s="2"/>
      <c r="I8" s="99"/>
      <c r="K8" s="51"/>
      <c r="L8" s="25"/>
      <c r="M8" s="45"/>
      <c r="N8" s="20"/>
    </row>
    <row r="9" spans="1:14" s="1" customFormat="1" ht="7.5" customHeight="1">
      <c r="A9" s="6"/>
      <c r="B9" s="6"/>
      <c r="C9" s="6"/>
      <c r="D9" s="6"/>
      <c r="E9" s="6"/>
      <c r="F9" s="25"/>
      <c r="G9" s="2"/>
      <c r="I9" s="98"/>
      <c r="K9" s="81"/>
      <c r="L9" s="25"/>
      <c r="M9" s="82"/>
      <c r="N9" s="20"/>
    </row>
    <row r="10" spans="1:14" s="1" customFormat="1">
      <c r="A10" s="6"/>
      <c r="B10" s="6"/>
      <c r="C10" s="6"/>
      <c r="D10" s="6"/>
      <c r="E10" s="6"/>
      <c r="F10" s="20"/>
      <c r="I10" s="48"/>
      <c r="M10" s="84"/>
      <c r="N10" s="20"/>
    </row>
    <row r="11" spans="1:14" s="1" customFormat="1" ht="12.75">
      <c r="A11" s="8" t="s">
        <v>29</v>
      </c>
      <c r="B11" s="6"/>
      <c r="C11" s="6"/>
      <c r="D11" s="6"/>
      <c r="E11" s="6"/>
      <c r="F11" s="92">
        <f>F107</f>
        <v>3347582.36</v>
      </c>
      <c r="I11" s="100"/>
      <c r="K11" s="44"/>
      <c r="L11" s="34"/>
      <c r="M11" s="84"/>
      <c r="N11" s="20"/>
    </row>
    <row r="12" spans="1:14" s="1" customFormat="1" ht="12.75">
      <c r="A12" s="8"/>
      <c r="B12" s="6"/>
      <c r="C12" s="6"/>
      <c r="D12" s="6"/>
      <c r="E12" s="6"/>
      <c r="F12" s="44"/>
      <c r="I12" s="101"/>
      <c r="K12" s="44"/>
      <c r="L12" s="34"/>
      <c r="M12" s="84"/>
      <c r="N12" s="20"/>
    </row>
    <row r="13" spans="1:14" s="1" customFormat="1">
      <c r="A13" s="6"/>
      <c r="B13" s="6"/>
      <c r="C13" s="6"/>
      <c r="D13" s="6"/>
      <c r="E13" s="6"/>
      <c r="F13"/>
      <c r="I13" s="48"/>
      <c r="K13"/>
      <c r="L13"/>
      <c r="M13" s="84"/>
      <c r="N13" s="20"/>
    </row>
    <row r="14" spans="1:14" ht="12.75">
      <c r="A14" s="6"/>
      <c r="B14" s="8" t="s">
        <v>30</v>
      </c>
      <c r="C14" s="6"/>
      <c r="D14" s="6"/>
      <c r="E14" s="6"/>
      <c r="K14"/>
      <c r="L14"/>
      <c r="M14" s="80"/>
    </row>
    <row r="15" spans="1:14" ht="15.75" customHeight="1">
      <c r="A15" s="6"/>
      <c r="B15" s="8"/>
      <c r="C15" s="6"/>
      <c r="D15" s="6"/>
      <c r="E15" s="6"/>
      <c r="K15"/>
      <c r="L15"/>
      <c r="M15" s="80"/>
    </row>
    <row r="16" spans="1:14">
      <c r="A16" s="68" t="s">
        <v>43</v>
      </c>
      <c r="B16" s="6"/>
      <c r="C16" s="6"/>
      <c r="D16" s="6"/>
      <c r="E16" s="6"/>
      <c r="K16"/>
      <c r="L16"/>
      <c r="M16" s="80"/>
    </row>
    <row r="17" spans="1:13">
      <c r="A17" s="77"/>
      <c r="B17" s="6"/>
      <c r="C17" s="6" t="s">
        <v>31</v>
      </c>
      <c r="D17" s="6"/>
      <c r="E17" s="6"/>
      <c r="K17"/>
      <c r="L17"/>
      <c r="M17" s="80"/>
    </row>
    <row r="18" spans="1:13">
      <c r="A18" s="9"/>
      <c r="B18" s="9"/>
      <c r="C18" s="9"/>
      <c r="D18" s="9" t="s">
        <v>32</v>
      </c>
      <c r="E18" s="64" t="s">
        <v>33</v>
      </c>
      <c r="F18" s="69">
        <v>106500</v>
      </c>
      <c r="G18" s="4"/>
      <c r="H18" s="22"/>
      <c r="I18" s="102">
        <f>20940.37+12513.28+10.42+4.57</f>
        <v>33468.639999999999</v>
      </c>
      <c r="K18" s="80">
        <f>F18-I18</f>
        <v>73031.360000000001</v>
      </c>
      <c r="M18" s="85">
        <f>I18/F18</f>
        <v>0.31425953051643191</v>
      </c>
    </row>
    <row r="19" spans="1:13">
      <c r="D19" s="5" t="s">
        <v>34</v>
      </c>
      <c r="E19" s="5" t="s">
        <v>83</v>
      </c>
      <c r="F19" s="21">
        <v>603.6</v>
      </c>
      <c r="H19" s="21"/>
      <c r="I19" s="103">
        <v>504.9</v>
      </c>
      <c r="K19" s="80">
        <f>F19-I19</f>
        <v>98.700000000000045</v>
      </c>
      <c r="M19" s="85">
        <f>I19/F19</f>
        <v>0.83648111332007946</v>
      </c>
    </row>
    <row r="20" spans="1:13">
      <c r="D20" s="5" t="s">
        <v>35</v>
      </c>
      <c r="E20" s="5" t="s">
        <v>64</v>
      </c>
      <c r="F20" s="69">
        <v>75000</v>
      </c>
      <c r="H20" s="21"/>
      <c r="I20" s="103">
        <v>39085.65</v>
      </c>
      <c r="K20" s="80">
        <f>F20-I20</f>
        <v>35914.35</v>
      </c>
      <c r="M20" s="85">
        <f>I20/F20</f>
        <v>0.52114199999999999</v>
      </c>
    </row>
    <row r="21" spans="1:13">
      <c r="F21" s="48"/>
      <c r="H21" s="21"/>
      <c r="I21" s="53"/>
      <c r="K21" s="80"/>
      <c r="M21" s="80"/>
    </row>
    <row r="22" spans="1:13">
      <c r="A22" s="73"/>
      <c r="B22" s="6"/>
      <c r="C22" s="6" t="s">
        <v>90</v>
      </c>
      <c r="D22" s="6"/>
      <c r="E22" s="6"/>
      <c r="F22" s="48"/>
      <c r="H22" s="21"/>
      <c r="I22" s="53"/>
      <c r="K22" s="80"/>
      <c r="M22" s="80"/>
    </row>
    <row r="23" spans="1:13">
      <c r="D23" s="5" t="s">
        <v>32</v>
      </c>
      <c r="E23" s="18" t="s">
        <v>19</v>
      </c>
      <c r="F23" s="69">
        <v>6000</v>
      </c>
      <c r="H23" s="21"/>
      <c r="I23" s="53"/>
      <c r="K23" s="80">
        <f>F23-I23</f>
        <v>6000</v>
      </c>
      <c r="M23" s="85">
        <f>I23/F23</f>
        <v>0</v>
      </c>
    </row>
    <row r="24" spans="1:13">
      <c r="D24" s="5" t="s">
        <v>34</v>
      </c>
      <c r="E24" s="5" t="s">
        <v>46</v>
      </c>
      <c r="F24" s="21">
        <v>10000</v>
      </c>
      <c r="H24" s="21"/>
      <c r="K24" s="80">
        <f>F24-I24</f>
        <v>10000</v>
      </c>
      <c r="M24" s="85">
        <f>I24/F24</f>
        <v>0</v>
      </c>
    </row>
    <row r="25" spans="1:13">
      <c r="D25" s="5" t="s">
        <v>35</v>
      </c>
      <c r="E25" s="18" t="s">
        <v>51</v>
      </c>
      <c r="F25" s="69">
        <v>0</v>
      </c>
      <c r="H25" s="21"/>
      <c r="I25" s="53"/>
      <c r="K25" s="80"/>
      <c r="M25" s="85"/>
    </row>
    <row r="26" spans="1:13">
      <c r="F26" s="48"/>
      <c r="H26" s="21"/>
      <c r="I26" s="53"/>
      <c r="K26" s="80"/>
      <c r="M26" s="80"/>
    </row>
    <row r="27" spans="1:13">
      <c r="A27" s="73"/>
      <c r="B27" s="6"/>
      <c r="C27" s="6" t="s">
        <v>91</v>
      </c>
      <c r="D27" s="6"/>
      <c r="E27" s="6"/>
      <c r="F27" s="48"/>
      <c r="H27" s="21"/>
      <c r="I27" s="53"/>
      <c r="K27" s="80"/>
      <c r="M27" s="80"/>
    </row>
    <row r="28" spans="1:13">
      <c r="D28" s="5" t="s">
        <v>32</v>
      </c>
      <c r="E28" s="5" t="s">
        <v>66</v>
      </c>
      <c r="F28" s="21">
        <v>70000</v>
      </c>
      <c r="H28" s="21"/>
      <c r="I28" s="53">
        <f>30000+2500+1006.1+10345</f>
        <v>43851.1</v>
      </c>
      <c r="K28" s="80">
        <f>F28-I28</f>
        <v>26148.9</v>
      </c>
      <c r="M28" s="85">
        <f>I28/F28</f>
        <v>0.62644428571428568</v>
      </c>
    </row>
    <row r="29" spans="1:13">
      <c r="D29" s="18" t="s">
        <v>34</v>
      </c>
      <c r="E29" s="18" t="s">
        <v>0</v>
      </c>
      <c r="F29" s="69">
        <v>4500</v>
      </c>
      <c r="I29" s="53"/>
      <c r="K29" s="80">
        <f>F29-I29</f>
        <v>4500</v>
      </c>
      <c r="M29" s="85">
        <f>I29/F29</f>
        <v>0</v>
      </c>
    </row>
    <row r="30" spans="1:13">
      <c r="D30" s="5" t="s">
        <v>35</v>
      </c>
      <c r="E30" s="5" t="s">
        <v>41</v>
      </c>
      <c r="F30" s="69">
        <v>53000</v>
      </c>
      <c r="H30" s="21"/>
      <c r="I30" s="53">
        <v>52379.08</v>
      </c>
      <c r="K30" s="80">
        <f>F30-I30</f>
        <v>620.91999999999825</v>
      </c>
      <c r="M30" s="85">
        <f>I30/F30</f>
        <v>0.98828452830188684</v>
      </c>
    </row>
    <row r="31" spans="1:13">
      <c r="F31" s="53"/>
      <c r="H31" s="21"/>
      <c r="M31" s="80"/>
    </row>
    <row r="32" spans="1:13">
      <c r="F32" s="53"/>
      <c r="H32" s="21"/>
      <c r="M32" s="80"/>
    </row>
    <row r="33" spans="1:15">
      <c r="A33" s="91">
        <f>F33/F11</f>
        <v>9.726529924718566E-2</v>
      </c>
      <c r="C33" s="6" t="s">
        <v>45</v>
      </c>
      <c r="D33"/>
      <c r="E33"/>
      <c r="F33" s="7">
        <f>SUM(F17:F30)</f>
        <v>325603.59999999998</v>
      </c>
      <c r="G33" s="28">
        <f>SUM(G17:G30)</f>
        <v>0</v>
      </c>
      <c r="H33" s="28">
        <f>SUM(H17:H30)</f>
        <v>0</v>
      </c>
      <c r="I33" s="106">
        <f>SUM(I17:I30)</f>
        <v>169289.37</v>
      </c>
      <c r="J33" s="27"/>
      <c r="K33" s="37">
        <f>SUM(K17:K30)</f>
        <v>156314.22999999998</v>
      </c>
      <c r="L33" s="35"/>
      <c r="M33" s="109">
        <f>I33/F33</f>
        <v>0.51992474898926178</v>
      </c>
    </row>
    <row r="34" spans="1:15">
      <c r="A34" s="77"/>
      <c r="C34" s="6"/>
      <c r="D34"/>
      <c r="E34"/>
      <c r="F34" s="28"/>
      <c r="G34" s="10"/>
      <c r="H34" s="28"/>
      <c r="J34" s="27"/>
      <c r="K34" s="47"/>
      <c r="L34" s="35"/>
      <c r="M34" s="80"/>
    </row>
    <row r="35" spans="1:15">
      <c r="E35" s="6"/>
      <c r="F35" s="16"/>
      <c r="G35" s="10"/>
      <c r="H35" s="27"/>
      <c r="J35" s="27"/>
      <c r="M35" s="80"/>
    </row>
    <row r="36" spans="1:15" ht="12.75">
      <c r="B36" s="8" t="s">
        <v>23</v>
      </c>
      <c r="C36" s="6"/>
      <c r="D36"/>
      <c r="E36"/>
      <c r="F36" s="16"/>
      <c r="G36" s="10"/>
      <c r="H36" s="27"/>
      <c r="J36" s="27"/>
      <c r="M36" s="80"/>
    </row>
    <row r="37" spans="1:15">
      <c r="A37" s="6"/>
      <c r="B37" s="6"/>
      <c r="C37" s="6"/>
      <c r="D37" s="6"/>
      <c r="E37" s="6"/>
      <c r="F37" s="16"/>
      <c r="G37" s="10"/>
      <c r="M37" s="80"/>
    </row>
    <row r="38" spans="1:15">
      <c r="A38" s="73"/>
      <c r="B38" s="6"/>
      <c r="C38" s="6" t="s">
        <v>48</v>
      </c>
      <c r="D38" s="6"/>
      <c r="E38" s="17"/>
      <c r="F38" s="16"/>
      <c r="G38" s="12"/>
      <c r="H38" s="21"/>
      <c r="J38" s="12"/>
      <c r="M38" s="80"/>
    </row>
    <row r="39" spans="1:15" s="12" customFormat="1">
      <c r="A39" s="17"/>
      <c r="B39" s="17"/>
      <c r="C39" s="17"/>
      <c r="D39" s="17" t="s">
        <v>32</v>
      </c>
      <c r="E39" s="62" t="s">
        <v>7</v>
      </c>
      <c r="F39" s="69">
        <v>0</v>
      </c>
      <c r="H39" s="21"/>
      <c r="I39" s="48"/>
      <c r="K39" s="80">
        <f>F39-I39</f>
        <v>0</v>
      </c>
      <c r="L39" s="11"/>
      <c r="M39" s="85"/>
      <c r="N39" s="21"/>
    </row>
    <row r="40" spans="1:15" s="12" customFormat="1">
      <c r="A40" s="17"/>
      <c r="B40" s="17"/>
      <c r="C40" s="17"/>
      <c r="D40" s="17" t="s">
        <v>34</v>
      </c>
      <c r="E40" s="62" t="s">
        <v>8</v>
      </c>
      <c r="F40" s="69">
        <v>126000</v>
      </c>
      <c r="H40" s="21"/>
      <c r="I40" s="48">
        <f>4794.72+29027.14+19524.11+4264.66+5201.24+16261.3+6691.72+689.94</f>
        <v>86454.83</v>
      </c>
      <c r="K40" s="80">
        <f>F40-I40</f>
        <v>39545.17</v>
      </c>
      <c r="L40" s="11"/>
      <c r="M40" s="85">
        <f>I40/F40</f>
        <v>0.68614944444444448</v>
      </c>
      <c r="N40" s="21"/>
    </row>
    <row r="41" spans="1:15" s="12" customFormat="1">
      <c r="A41" s="17"/>
      <c r="B41" s="17"/>
      <c r="C41" s="17"/>
      <c r="D41" s="17" t="s">
        <v>35</v>
      </c>
      <c r="E41" s="62" t="s">
        <v>47</v>
      </c>
      <c r="F41" s="69">
        <v>70000</v>
      </c>
      <c r="H41" s="21"/>
      <c r="I41" s="48">
        <f>7988.62+1480.27+640+8361.49+625+555.7+530+7465.66+490+5915.57+530+4420.97+500+3684.86+470+4124.02+460+681.01+868</f>
        <v>49791.170000000006</v>
      </c>
      <c r="K41" s="80">
        <f>F41-I41</f>
        <v>20208.829999999994</v>
      </c>
      <c r="L41" s="11"/>
      <c r="M41" s="85">
        <f>I41/F41</f>
        <v>0.71130242857142867</v>
      </c>
      <c r="N41" s="21"/>
    </row>
    <row r="42" spans="1:15" s="12" customFormat="1">
      <c r="A42" s="17"/>
      <c r="B42" s="17"/>
      <c r="C42" s="17"/>
      <c r="D42" s="17"/>
      <c r="E42" s="62"/>
      <c r="F42" s="69"/>
      <c r="H42" s="21"/>
      <c r="I42" s="48"/>
      <c r="K42" s="80"/>
      <c r="L42" s="11"/>
      <c r="M42" s="80"/>
      <c r="N42" s="21"/>
    </row>
    <row r="43" spans="1:15" s="12" customFormat="1">
      <c r="A43" s="75"/>
      <c r="B43" s="17"/>
      <c r="C43" s="58" t="s">
        <v>10</v>
      </c>
      <c r="D43" s="17"/>
      <c r="F43" s="21"/>
      <c r="I43" s="48"/>
      <c r="K43" s="80"/>
      <c r="M43" s="80"/>
      <c r="N43" s="21"/>
    </row>
    <row r="44" spans="1:15" s="12" customFormat="1">
      <c r="A44" s="17"/>
      <c r="B44" s="17"/>
      <c r="C44" s="17"/>
      <c r="D44" s="17" t="s">
        <v>32</v>
      </c>
      <c r="E44" s="62" t="s">
        <v>1</v>
      </c>
      <c r="F44" s="21">
        <v>225000</v>
      </c>
      <c r="H44" s="21"/>
      <c r="I44" s="48">
        <f>99.98+72249.89</f>
        <v>72349.87</v>
      </c>
      <c r="K44" s="80">
        <f>F44-I44</f>
        <v>152650.13</v>
      </c>
      <c r="L44" s="11"/>
      <c r="M44" s="85">
        <f>I44/F44</f>
        <v>0.32155497777777775</v>
      </c>
      <c r="N44" s="21"/>
    </row>
    <row r="45" spans="1:15" s="12" customFormat="1">
      <c r="A45" s="17"/>
      <c r="B45" s="17"/>
      <c r="C45" s="17"/>
      <c r="D45" s="17" t="s">
        <v>34</v>
      </c>
      <c r="E45" s="31" t="s">
        <v>65</v>
      </c>
      <c r="F45" s="69">
        <v>45000</v>
      </c>
      <c r="H45" s="21"/>
      <c r="I45" s="48">
        <f>49.95+15049.95+2700+99.9+49.95+2749.95+49.95+2749.95</f>
        <v>23499.600000000006</v>
      </c>
      <c r="K45" s="80">
        <f>F45-I45</f>
        <v>21500.399999999994</v>
      </c>
      <c r="L45" s="11"/>
      <c r="M45" s="85">
        <f>I45/F45</f>
        <v>0.52221333333333342</v>
      </c>
      <c r="N45" s="21"/>
    </row>
    <row r="46" spans="1:15">
      <c r="D46" s="5" t="s">
        <v>35</v>
      </c>
      <c r="E46" s="31" t="s">
        <v>9</v>
      </c>
      <c r="F46" s="69">
        <v>0</v>
      </c>
      <c r="G46" s="12"/>
      <c r="H46" s="21"/>
      <c r="J46" s="12"/>
      <c r="K46" s="80">
        <f>F46-I46</f>
        <v>0</v>
      </c>
      <c r="M46" s="85"/>
      <c r="O46" s="12"/>
    </row>
    <row r="47" spans="1:15">
      <c r="E47" s="31"/>
      <c r="F47" s="53"/>
      <c r="G47" s="12"/>
      <c r="H47" s="21"/>
      <c r="J47" s="12"/>
      <c r="M47" s="80"/>
      <c r="O47" s="12"/>
    </row>
    <row r="48" spans="1:15">
      <c r="M48" s="80"/>
      <c r="O48" s="12"/>
    </row>
    <row r="49" spans="1:15" s="1" customFormat="1">
      <c r="A49" s="91">
        <f>F49/F11</f>
        <v>0.13920493953134586</v>
      </c>
      <c r="C49" s="6" t="s">
        <v>11</v>
      </c>
      <c r="D49"/>
      <c r="E49"/>
      <c r="F49" s="7">
        <f>SUM(F38:F46)</f>
        <v>466000</v>
      </c>
      <c r="G49" s="13"/>
      <c r="I49" s="106">
        <f>SUM(I38:I46)</f>
        <v>232095.47</v>
      </c>
      <c r="K49" s="37">
        <f>SUM(K38:K46)</f>
        <v>233904.53</v>
      </c>
      <c r="L49" s="28"/>
      <c r="M49" s="109">
        <f>I49/F49</f>
        <v>0.49805894849785409</v>
      </c>
      <c r="N49" s="20"/>
      <c r="O49" s="23"/>
    </row>
    <row r="50" spans="1:15" s="1" customFormat="1">
      <c r="A50" s="77"/>
      <c r="C50" s="6"/>
      <c r="D50"/>
      <c r="E50"/>
      <c r="F50" s="28"/>
      <c r="G50" s="13"/>
      <c r="I50" s="100"/>
      <c r="K50" s="38"/>
      <c r="L50" s="28"/>
      <c r="M50" s="80"/>
      <c r="N50" s="20"/>
      <c r="O50" s="23"/>
    </row>
    <row r="51" spans="1:15" s="1" customFormat="1">
      <c r="A51" s="26"/>
      <c r="B51" s="26"/>
      <c r="C51" s="26"/>
      <c r="D51" s="26"/>
      <c r="E51" s="26"/>
      <c r="F51" s="26"/>
      <c r="G51" s="26"/>
      <c r="H51" s="26"/>
      <c r="I51" s="96"/>
      <c r="J51" s="26"/>
      <c r="K51" s="26"/>
      <c r="L51" s="26"/>
      <c r="M51" s="26"/>
      <c r="N51" s="20"/>
    </row>
    <row r="52" spans="1:15" ht="12.75">
      <c r="A52" s="57"/>
      <c r="B52" s="8" t="s">
        <v>84</v>
      </c>
      <c r="C52" s="6"/>
      <c r="D52" s="57"/>
      <c r="E52" s="6"/>
      <c r="F52" s="16"/>
      <c r="K52"/>
      <c r="L52"/>
      <c r="M52" s="80"/>
    </row>
    <row r="53" spans="1:15">
      <c r="B53" s="72"/>
      <c r="C53" s="6"/>
      <c r="D53" s="6"/>
      <c r="E53" s="6"/>
      <c r="F53" s="16"/>
      <c r="K53" s="80"/>
      <c r="L53"/>
      <c r="M53" s="80"/>
    </row>
    <row r="54" spans="1:15">
      <c r="A54" s="73"/>
      <c r="B54" s="73"/>
      <c r="C54" s="6" t="s">
        <v>4</v>
      </c>
      <c r="D54" s="6"/>
      <c r="E54" s="6"/>
      <c r="F54" s="59"/>
      <c r="H54" s="21"/>
      <c r="J54" s="21"/>
      <c r="K54" s="80"/>
      <c r="L54"/>
      <c r="M54" s="80"/>
    </row>
    <row r="55" spans="1:15">
      <c r="A55" s="6"/>
      <c r="B55" s="54"/>
      <c r="C55" s="6"/>
      <c r="D55" s="5" t="s">
        <v>32</v>
      </c>
      <c r="E55" s="18" t="s">
        <v>12</v>
      </c>
      <c r="F55" s="69">
        <v>750000</v>
      </c>
      <c r="H55" s="21"/>
      <c r="I55" s="48">
        <f>2829.7+17646.44+10500+35554.7+3331+2564.12+13218.74+28132.41</f>
        <v>113777.11</v>
      </c>
      <c r="J55" s="21"/>
      <c r="K55" s="80">
        <f>F55-I55</f>
        <v>636222.89</v>
      </c>
      <c r="M55" s="85">
        <f>I55/F55</f>
        <v>0.15170281333333333</v>
      </c>
    </row>
    <row r="56" spans="1:15">
      <c r="A56" s="6"/>
      <c r="B56" s="54"/>
      <c r="C56" s="6"/>
      <c r="D56" s="5" t="s">
        <v>34</v>
      </c>
      <c r="E56" s="18" t="s">
        <v>13</v>
      </c>
      <c r="F56" s="69">
        <v>180000</v>
      </c>
      <c r="H56" s="21"/>
      <c r="I56" s="48">
        <f>21393.75+67319.53+21787.5+5243.75+24314.24+28756.54</f>
        <v>168815.31</v>
      </c>
      <c r="J56" s="21"/>
      <c r="K56" s="80">
        <f>F56-I56</f>
        <v>11184.690000000002</v>
      </c>
      <c r="M56" s="85">
        <f>I56/F56</f>
        <v>0.93786283333333331</v>
      </c>
    </row>
    <row r="57" spans="1:15">
      <c r="B57" s="60"/>
      <c r="D57" s="5" t="s">
        <v>35</v>
      </c>
      <c r="E57" s="18" t="s">
        <v>26</v>
      </c>
      <c r="F57" s="69">
        <v>0</v>
      </c>
      <c r="K57" s="80">
        <f>F57-I57</f>
        <v>0</v>
      </c>
      <c r="M57" s="85"/>
    </row>
    <row r="58" spans="1:15">
      <c r="B58" s="60"/>
      <c r="D58" s="5" t="s">
        <v>38</v>
      </c>
      <c r="E58" s="5" t="s">
        <v>58</v>
      </c>
      <c r="F58" s="69">
        <v>89000</v>
      </c>
      <c r="K58" s="80">
        <f>F58-I58</f>
        <v>89000</v>
      </c>
      <c r="M58" s="85">
        <f>I58/F58</f>
        <v>0</v>
      </c>
    </row>
    <row r="59" spans="1:15" ht="9" customHeight="1">
      <c r="B59" s="60"/>
      <c r="E59" s="18"/>
      <c r="F59" s="69"/>
      <c r="K59" s="80"/>
      <c r="M59" s="80"/>
    </row>
    <row r="60" spans="1:15">
      <c r="A60" s="73"/>
      <c r="B60" s="73"/>
      <c r="C60" s="6" t="s">
        <v>5</v>
      </c>
      <c r="D60" s="6"/>
      <c r="E60" s="6"/>
      <c r="F60" s="78"/>
      <c r="H60" s="21"/>
      <c r="J60" s="21"/>
      <c r="K60" s="80"/>
      <c r="M60" s="80"/>
    </row>
    <row r="61" spans="1:15">
      <c r="A61" s="6"/>
      <c r="B61" s="54"/>
      <c r="C61" s="6"/>
      <c r="D61" s="18" t="s">
        <v>32</v>
      </c>
      <c r="E61" s="18" t="s">
        <v>20</v>
      </c>
      <c r="F61" s="69">
        <v>450000</v>
      </c>
      <c r="H61" s="21"/>
      <c r="I61" s="48">
        <f>24864.11+16.19+750.68+50029.41-99.8+232.47+543.06</f>
        <v>76336.12</v>
      </c>
      <c r="J61" s="21"/>
      <c r="K61" s="80">
        <f>F61-I61</f>
        <v>373663.88</v>
      </c>
      <c r="M61" s="85">
        <f>I61/F61</f>
        <v>0.1696358222222222</v>
      </c>
    </row>
    <row r="62" spans="1:15">
      <c r="A62" s="6"/>
      <c r="B62" s="54"/>
      <c r="C62" s="6"/>
      <c r="D62" s="5" t="s">
        <v>34</v>
      </c>
      <c r="E62" s="18" t="s">
        <v>27</v>
      </c>
      <c r="F62" s="69">
        <v>32000</v>
      </c>
      <c r="H62" s="21"/>
      <c r="I62" s="48">
        <f>1141.12+1608.59+2762.68+465.85+736.45+1414.49</f>
        <v>8129.1799999999994</v>
      </c>
      <c r="J62" s="21"/>
      <c r="K62" s="80">
        <f>F62-I62</f>
        <v>23870.82</v>
      </c>
      <c r="M62" s="85">
        <f>I62/F62</f>
        <v>0.254036875</v>
      </c>
    </row>
    <row r="63" spans="1:15">
      <c r="B63" s="60"/>
      <c r="D63" s="5" t="s">
        <v>35</v>
      </c>
      <c r="E63" s="18" t="s">
        <v>2</v>
      </c>
      <c r="F63" s="69">
        <v>42000</v>
      </c>
      <c r="G63" s="10"/>
      <c r="H63" s="21"/>
      <c r="I63" s="48">
        <f>6843.75+9124.12+14670.61+2744+1536.38</f>
        <v>34918.86</v>
      </c>
      <c r="J63" s="21"/>
      <c r="K63" s="80">
        <f>F63-I63</f>
        <v>7081.1399999999994</v>
      </c>
      <c r="M63" s="85">
        <f>I63/F63</f>
        <v>0.83140142857142862</v>
      </c>
    </row>
    <row r="64" spans="1:15">
      <c r="B64" s="60"/>
      <c r="E64" s="18"/>
      <c r="F64" s="69"/>
      <c r="G64" s="10"/>
      <c r="H64" s="21"/>
      <c r="J64" s="21"/>
      <c r="K64" s="80"/>
      <c r="M64" s="85"/>
    </row>
    <row r="65" spans="1:16" ht="12.75" customHeight="1">
      <c r="B65" s="60"/>
      <c r="E65" s="18"/>
      <c r="F65" s="69"/>
      <c r="G65" s="10"/>
      <c r="H65" s="21"/>
      <c r="J65" s="21"/>
      <c r="K65" s="80"/>
      <c r="M65" s="85"/>
    </row>
    <row r="66" spans="1:16" ht="11.25" customHeight="1">
      <c r="A66" s="110" t="str">
        <f>"-3-"</f>
        <v>-3-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</row>
    <row r="67" spans="1:16">
      <c r="A67" s="68"/>
      <c r="B67" s="73"/>
      <c r="C67" s="6" t="s">
        <v>92</v>
      </c>
      <c r="D67" s="6"/>
      <c r="E67" s="6"/>
      <c r="F67" s="21">
        <v>275000</v>
      </c>
      <c r="H67" s="21"/>
      <c r="I67" s="48">
        <f>2118.75+7485.44+36856.6+229252.49+4058.07+1873.53+1194.46</f>
        <v>282839.34000000003</v>
      </c>
      <c r="J67" s="21"/>
      <c r="K67" s="80">
        <f>F67-I67</f>
        <v>-7839.3400000000256</v>
      </c>
      <c r="M67" s="85">
        <f>I67/F67</f>
        <v>1.028506690909091</v>
      </c>
      <c r="P67" s="16"/>
    </row>
    <row r="68" spans="1:16" ht="9" customHeight="1">
      <c r="A68" s="67"/>
      <c r="B68" s="74"/>
      <c r="D68" s="18"/>
      <c r="E68" s="18"/>
      <c r="F68" s="48"/>
      <c r="G68" s="1"/>
      <c r="H68" s="21"/>
      <c r="J68" s="21"/>
      <c r="K68" s="80"/>
      <c r="M68" s="80"/>
      <c r="N68" s="87"/>
    </row>
    <row r="69" spans="1:16">
      <c r="A69" s="76"/>
      <c r="B69" s="6"/>
      <c r="C69" s="6" t="s">
        <v>93</v>
      </c>
      <c r="D69" s="6"/>
      <c r="E69" s="6"/>
      <c r="F69" s="48"/>
      <c r="H69" s="21"/>
      <c r="K69" s="80"/>
      <c r="M69" s="80"/>
    </row>
    <row r="70" spans="1:16">
      <c r="D70" s="5" t="s">
        <v>32</v>
      </c>
      <c r="E70" s="5" t="s">
        <v>36</v>
      </c>
      <c r="F70" s="21">
        <v>60000</v>
      </c>
      <c r="H70" s="21"/>
      <c r="I70" s="48">
        <f>1237.5+918.75+9090+4071.9</f>
        <v>15318.15</v>
      </c>
      <c r="K70" s="80">
        <f>F70-I70</f>
        <v>44681.85</v>
      </c>
      <c r="M70" s="85">
        <f>I70/F70</f>
        <v>0.25530249999999999</v>
      </c>
    </row>
    <row r="71" spans="1:16">
      <c r="D71" s="5" t="s">
        <v>34</v>
      </c>
      <c r="E71" s="18" t="s">
        <v>37</v>
      </c>
      <c r="F71" s="69">
        <v>25000</v>
      </c>
      <c r="H71" s="21"/>
      <c r="I71" s="48">
        <f>1435.11+1953.95+12747.41+2021.93+1690.97+1745.59+658.6</f>
        <v>22253.559999999998</v>
      </c>
      <c r="K71" s="80">
        <f>F71-I71</f>
        <v>2746.4400000000023</v>
      </c>
      <c r="M71" s="85">
        <f>I71/F71</f>
        <v>0.89014239999999989</v>
      </c>
    </row>
    <row r="72" spans="1:16">
      <c r="D72" s="5" t="s">
        <v>35</v>
      </c>
      <c r="E72" s="18" t="s">
        <v>50</v>
      </c>
      <c r="F72" s="69">
        <v>0</v>
      </c>
      <c r="H72" s="21"/>
      <c r="K72" s="80">
        <f>F72-I72</f>
        <v>0</v>
      </c>
      <c r="M72" s="85"/>
    </row>
    <row r="73" spans="1:16">
      <c r="D73" s="5" t="s">
        <v>38</v>
      </c>
      <c r="E73" s="18" t="s">
        <v>49</v>
      </c>
      <c r="F73" s="69">
        <v>8847.5</v>
      </c>
      <c r="H73" s="21"/>
      <c r="K73" s="80">
        <f>F73-I73</f>
        <v>8847.5</v>
      </c>
      <c r="M73" s="85">
        <f>I73/F73</f>
        <v>0</v>
      </c>
    </row>
    <row r="74" spans="1:16">
      <c r="E74" s="18"/>
      <c r="F74" s="69"/>
      <c r="H74" s="21"/>
      <c r="K74" s="80"/>
      <c r="M74" s="85"/>
    </row>
    <row r="75" spans="1:16" ht="12" customHeight="1">
      <c r="A75" s="73"/>
      <c r="B75" s="73"/>
      <c r="C75" s="6" t="s">
        <v>94</v>
      </c>
      <c r="D75" s="6"/>
      <c r="E75" s="6"/>
      <c r="F75" s="59"/>
      <c r="H75" s="21"/>
      <c r="J75" s="21"/>
      <c r="K75" s="80"/>
      <c r="M75" s="80"/>
      <c r="N75" s="87"/>
    </row>
    <row r="76" spans="1:16" ht="12" customHeight="1">
      <c r="A76" s="6"/>
      <c r="B76" s="54"/>
      <c r="C76" s="6"/>
      <c r="D76" s="18" t="s">
        <v>32</v>
      </c>
      <c r="E76" s="18" t="s">
        <v>14</v>
      </c>
      <c r="F76" s="21">
        <v>234596</v>
      </c>
      <c r="G76" s="1"/>
      <c r="H76" s="21"/>
      <c r="I76" s="48">
        <f>60408.75+60408.75+60408.75</f>
        <v>181226.25</v>
      </c>
      <c r="J76" s="21"/>
      <c r="K76" s="80">
        <f t="shared" ref="K76:K81" si="0">F76-I76</f>
        <v>53369.75</v>
      </c>
      <c r="M76" s="85">
        <f t="shared" ref="M76:M81" si="1">I76/F76</f>
        <v>0.7725035806237105</v>
      </c>
      <c r="N76" s="87"/>
    </row>
    <row r="77" spans="1:16" ht="12" customHeight="1">
      <c r="A77" s="6"/>
      <c r="B77" s="54"/>
      <c r="C77" s="6"/>
      <c r="D77" s="18" t="s">
        <v>34</v>
      </c>
      <c r="E77" s="5" t="s">
        <v>69</v>
      </c>
      <c r="F77" s="21">
        <v>43000</v>
      </c>
      <c r="G77" s="1"/>
      <c r="H77" s="21"/>
      <c r="I77" s="48">
        <f>26378+15715.75</f>
        <v>42093.75</v>
      </c>
      <c r="J77" s="21"/>
      <c r="K77" s="80">
        <f t="shared" si="0"/>
        <v>906.25</v>
      </c>
      <c r="M77" s="85">
        <f t="shared" si="1"/>
        <v>0.97892441860465118</v>
      </c>
      <c r="N77" s="86"/>
    </row>
    <row r="78" spans="1:16" ht="12" customHeight="1">
      <c r="A78" s="6"/>
      <c r="B78" s="54"/>
      <c r="C78" s="6"/>
      <c r="D78" s="18" t="s">
        <v>35</v>
      </c>
      <c r="E78" s="18" t="s">
        <v>15</v>
      </c>
      <c r="F78" s="21">
        <v>20000</v>
      </c>
      <c r="G78" s="1"/>
      <c r="H78" s="21"/>
      <c r="I78" s="48">
        <f>658.81+2615.95+6685.15+4031.65+1962.53+635.78</f>
        <v>16589.87</v>
      </c>
      <c r="J78" s="21"/>
      <c r="K78" s="80">
        <f t="shared" si="0"/>
        <v>3410.130000000001</v>
      </c>
      <c r="M78" s="85">
        <f t="shared" si="1"/>
        <v>0.82949349999999999</v>
      </c>
      <c r="N78" s="86"/>
    </row>
    <row r="79" spans="1:16" ht="12" customHeight="1">
      <c r="A79" s="6"/>
      <c r="B79" s="54"/>
      <c r="C79" s="6"/>
      <c r="D79" s="18" t="s">
        <v>38</v>
      </c>
      <c r="E79" s="18" t="s">
        <v>16</v>
      </c>
      <c r="F79" s="21">
        <v>24000</v>
      </c>
      <c r="G79" s="1"/>
      <c r="H79" s="21"/>
      <c r="I79" s="48">
        <f>3500+2995</f>
        <v>6495</v>
      </c>
      <c r="J79" s="21"/>
      <c r="K79" s="80">
        <f t="shared" si="0"/>
        <v>17505</v>
      </c>
      <c r="M79" s="85">
        <f t="shared" si="1"/>
        <v>0.270625</v>
      </c>
      <c r="N79" s="87"/>
    </row>
    <row r="80" spans="1:16" ht="12" customHeight="1">
      <c r="A80" s="6"/>
      <c r="B80" s="54"/>
      <c r="C80" s="6"/>
      <c r="D80" s="18" t="s">
        <v>39</v>
      </c>
      <c r="E80" s="18" t="s">
        <v>17</v>
      </c>
      <c r="F80" s="21">
        <v>140850</v>
      </c>
      <c r="G80" s="1"/>
      <c r="H80" s="21"/>
      <c r="I80" s="48">
        <f>2250+3201+3000+65000</f>
        <v>73451</v>
      </c>
      <c r="J80" s="21"/>
      <c r="K80" s="80">
        <f t="shared" si="0"/>
        <v>67399</v>
      </c>
      <c r="M80" s="85">
        <f t="shared" si="1"/>
        <v>0.52148384806531767</v>
      </c>
      <c r="N80" s="87"/>
    </row>
    <row r="81" spans="1:16" ht="12" customHeight="1">
      <c r="A81" s="6"/>
      <c r="B81" s="54"/>
      <c r="C81" s="6"/>
      <c r="D81" s="5" t="s">
        <v>40</v>
      </c>
      <c r="E81" s="5" t="s">
        <v>59</v>
      </c>
      <c r="F81" s="21">
        <v>50000</v>
      </c>
      <c r="G81" s="1"/>
      <c r="H81" s="21"/>
      <c r="J81" s="21"/>
      <c r="K81" s="80">
        <f t="shared" si="0"/>
        <v>50000</v>
      </c>
      <c r="M81" s="85">
        <f t="shared" si="1"/>
        <v>0</v>
      </c>
    </row>
    <row r="82" spans="1:16" ht="9" customHeight="1">
      <c r="A82" s="6"/>
      <c r="B82" s="54"/>
      <c r="C82" s="6"/>
      <c r="E82" s="18"/>
      <c r="F82" s="21"/>
      <c r="G82" s="1"/>
      <c r="H82" s="21"/>
      <c r="J82" s="21"/>
      <c r="K82" s="80"/>
      <c r="M82" s="80"/>
    </row>
    <row r="83" spans="1:16">
      <c r="A83" s="73"/>
      <c r="B83" s="73"/>
      <c r="C83" s="6" t="s">
        <v>95</v>
      </c>
      <c r="D83" s="6"/>
      <c r="E83" s="18"/>
      <c r="F83" s="78"/>
      <c r="G83" s="1"/>
      <c r="H83" s="21"/>
      <c r="J83" s="21"/>
      <c r="K83" s="80"/>
      <c r="M83" s="80"/>
    </row>
    <row r="84" spans="1:16">
      <c r="A84" s="6"/>
      <c r="B84" s="54"/>
      <c r="C84" s="6"/>
      <c r="D84" s="18" t="s">
        <v>32</v>
      </c>
      <c r="E84" s="18" t="s">
        <v>16</v>
      </c>
      <c r="F84" s="69">
        <v>3000</v>
      </c>
      <c r="G84" s="1"/>
      <c r="H84" s="21"/>
      <c r="I84" s="48">
        <f>324.11+3295+334.17+563.12+4300+916.91</f>
        <v>9733.3100000000013</v>
      </c>
      <c r="J84" s="21"/>
      <c r="K84" s="80">
        <f t="shared" ref="K84:K91" si="2">F84-I84</f>
        <v>-6733.3100000000013</v>
      </c>
      <c r="M84" s="85">
        <f>I84/F84</f>
        <v>3.2444366666666671</v>
      </c>
      <c r="P84" s="16"/>
    </row>
    <row r="85" spans="1:16">
      <c r="A85" s="6"/>
      <c r="B85" s="54"/>
      <c r="C85" s="6"/>
      <c r="D85" s="18" t="s">
        <v>34</v>
      </c>
      <c r="E85" s="18" t="s">
        <v>18</v>
      </c>
      <c r="F85" s="69">
        <v>5000</v>
      </c>
      <c r="G85" s="1"/>
      <c r="H85" s="21"/>
      <c r="I85" s="48">
        <f>590.21+6424.56+347.63+150+2943.68+61.11</f>
        <v>10517.19</v>
      </c>
      <c r="J85" s="21"/>
      <c r="K85" s="80">
        <f t="shared" si="2"/>
        <v>-5517.1900000000005</v>
      </c>
      <c r="M85" s="85">
        <f>I85/F85</f>
        <v>2.1034380000000001</v>
      </c>
    </row>
    <row r="86" spans="1:16">
      <c r="A86" s="6"/>
      <c r="B86" s="54"/>
      <c r="C86" s="6"/>
      <c r="D86" s="18" t="s">
        <v>35</v>
      </c>
      <c r="E86" s="18" t="s">
        <v>42</v>
      </c>
      <c r="F86" s="69">
        <v>0</v>
      </c>
      <c r="G86" s="1"/>
      <c r="H86" s="21"/>
      <c r="I86" s="48">
        <v>2300</v>
      </c>
      <c r="J86" s="21"/>
      <c r="K86" s="80">
        <f t="shared" si="2"/>
        <v>-2300</v>
      </c>
      <c r="M86" s="85"/>
    </row>
    <row r="87" spans="1:16">
      <c r="A87" s="6"/>
      <c r="B87" s="54"/>
      <c r="C87" s="6"/>
      <c r="D87" s="5" t="s">
        <v>38</v>
      </c>
      <c r="E87" s="5" t="s">
        <v>15</v>
      </c>
      <c r="F87" s="69">
        <v>0</v>
      </c>
      <c r="H87" s="21"/>
      <c r="J87" s="21"/>
      <c r="K87" s="80">
        <f t="shared" si="2"/>
        <v>0</v>
      </c>
      <c r="M87" s="85"/>
    </row>
    <row r="88" spans="1:16">
      <c r="A88" s="6"/>
      <c r="B88" s="54"/>
      <c r="C88" s="6"/>
      <c r="D88" s="5" t="s">
        <v>39</v>
      </c>
      <c r="E88" s="5" t="s">
        <v>85</v>
      </c>
      <c r="F88" s="69">
        <v>0</v>
      </c>
      <c r="H88" s="21"/>
      <c r="K88" s="80">
        <f t="shared" si="2"/>
        <v>0</v>
      </c>
      <c r="M88" s="85"/>
    </row>
    <row r="89" spans="1:16">
      <c r="A89" s="6"/>
      <c r="B89" s="54"/>
      <c r="C89" s="6"/>
      <c r="D89" s="5" t="s">
        <v>40</v>
      </c>
      <c r="E89" s="5" t="s">
        <v>67</v>
      </c>
      <c r="F89" s="69">
        <v>0</v>
      </c>
      <c r="H89" s="21"/>
      <c r="I89" s="48">
        <f>4058.26+138.55+299.6+759.85+595+30</f>
        <v>5881.2600000000011</v>
      </c>
      <c r="K89" s="80">
        <f t="shared" si="2"/>
        <v>-5881.2600000000011</v>
      </c>
      <c r="M89" s="85"/>
    </row>
    <row r="90" spans="1:16">
      <c r="A90" s="6"/>
      <c r="B90" s="54"/>
      <c r="C90" s="6"/>
      <c r="D90" s="5" t="s">
        <v>54</v>
      </c>
      <c r="E90" s="5" t="s">
        <v>87</v>
      </c>
      <c r="F90" s="69">
        <v>30000</v>
      </c>
      <c r="H90" s="21"/>
      <c r="I90" s="48">
        <f>22500+4500+500+500</f>
        <v>28000</v>
      </c>
      <c r="J90" s="21"/>
      <c r="K90" s="80">
        <f t="shared" si="2"/>
        <v>2000</v>
      </c>
      <c r="M90" s="85">
        <f>I90/F90</f>
        <v>0.93333333333333335</v>
      </c>
    </row>
    <row r="91" spans="1:16">
      <c r="A91" s="6"/>
      <c r="B91" s="54"/>
      <c r="C91" s="6"/>
      <c r="D91" s="5" t="s">
        <v>86</v>
      </c>
      <c r="E91" s="5" t="s">
        <v>55</v>
      </c>
      <c r="F91" s="69">
        <v>12300</v>
      </c>
      <c r="H91" s="21"/>
      <c r="I91" s="48">
        <f>11833.33</f>
        <v>11833.33</v>
      </c>
      <c r="J91" s="21"/>
      <c r="K91" s="80">
        <f t="shared" si="2"/>
        <v>466.67000000000007</v>
      </c>
      <c r="M91" s="85">
        <f>I91/F91</f>
        <v>0.96205934959349593</v>
      </c>
    </row>
    <row r="92" spans="1:16" ht="9" customHeight="1">
      <c r="A92" s="6"/>
      <c r="B92" s="54"/>
      <c r="C92" s="6"/>
      <c r="F92" s="69"/>
      <c r="H92" s="21"/>
      <c r="K92" s="80"/>
      <c r="M92" s="80"/>
    </row>
    <row r="93" spans="1:16">
      <c r="A93" s="73"/>
      <c r="B93" s="73"/>
      <c r="C93" s="6" t="s">
        <v>96</v>
      </c>
      <c r="D93" s="6"/>
      <c r="E93" s="6"/>
      <c r="F93" s="79"/>
      <c r="H93" s="21"/>
      <c r="K93" s="80"/>
      <c r="M93" s="80"/>
    </row>
    <row r="94" spans="1:16">
      <c r="A94" s="6"/>
      <c r="B94" s="54"/>
      <c r="D94" s="5" t="s">
        <v>32</v>
      </c>
      <c r="E94" s="5" t="s">
        <v>44</v>
      </c>
      <c r="F94" s="21">
        <v>0</v>
      </c>
      <c r="G94" s="10"/>
      <c r="H94" s="21"/>
      <c r="K94" s="80">
        <f t="shared" ref="K94:K99" si="3">F94-I94</f>
        <v>0</v>
      </c>
      <c r="M94" s="85"/>
    </row>
    <row r="95" spans="1:16">
      <c r="A95" s="6"/>
      <c r="B95" s="54"/>
      <c r="D95" s="5" t="s">
        <v>52</v>
      </c>
      <c r="E95" s="5" t="s">
        <v>60</v>
      </c>
      <c r="F95" s="21">
        <v>0</v>
      </c>
      <c r="G95" s="10"/>
      <c r="H95" s="21"/>
      <c r="K95" s="80">
        <f t="shared" si="3"/>
        <v>0</v>
      </c>
      <c r="M95" s="85"/>
    </row>
    <row r="96" spans="1:16">
      <c r="A96" s="6"/>
      <c r="B96" s="54"/>
      <c r="D96" s="5" t="s">
        <v>35</v>
      </c>
      <c r="E96" s="18" t="s">
        <v>6</v>
      </c>
      <c r="F96" s="69">
        <v>2000</v>
      </c>
      <c r="G96" s="10"/>
      <c r="H96" s="21"/>
      <c r="I96" s="48">
        <f>679.07+1312.5+712.5+1609.37</f>
        <v>4313.4400000000005</v>
      </c>
      <c r="K96" s="80">
        <f t="shared" si="3"/>
        <v>-2313.4400000000005</v>
      </c>
      <c r="M96" s="85">
        <f>I96/F96</f>
        <v>2.1567200000000004</v>
      </c>
    </row>
    <row r="97" spans="1:14">
      <c r="A97" s="6"/>
      <c r="B97" s="54"/>
      <c r="D97" s="5" t="s">
        <v>38</v>
      </c>
      <c r="E97" s="5" t="s">
        <v>61</v>
      </c>
      <c r="F97" s="69">
        <v>22000</v>
      </c>
      <c r="G97" s="10"/>
      <c r="H97" s="21"/>
      <c r="I97" s="48">
        <f>5000</f>
        <v>5000</v>
      </c>
      <c r="K97" s="80">
        <f t="shared" si="3"/>
        <v>17000</v>
      </c>
      <c r="M97" s="85">
        <f>I97/F97</f>
        <v>0.22727272727272727</v>
      </c>
    </row>
    <row r="98" spans="1:14">
      <c r="A98" s="6"/>
      <c r="B98" s="54"/>
      <c r="D98" s="5" t="s">
        <v>39</v>
      </c>
      <c r="E98" s="5" t="s">
        <v>88</v>
      </c>
      <c r="F98" s="69">
        <v>0</v>
      </c>
      <c r="G98" s="10"/>
      <c r="H98" s="21"/>
      <c r="K98" s="80">
        <f t="shared" si="3"/>
        <v>0</v>
      </c>
      <c r="M98" s="85"/>
    </row>
    <row r="99" spans="1:14">
      <c r="A99" s="6"/>
      <c r="B99" s="54"/>
      <c r="D99" s="5" t="s">
        <v>40</v>
      </c>
      <c r="E99" s="5" t="s">
        <v>89</v>
      </c>
      <c r="F99" s="69">
        <v>5000</v>
      </c>
      <c r="G99" s="10"/>
      <c r="H99" s="21"/>
      <c r="K99" s="80">
        <f t="shared" si="3"/>
        <v>5000</v>
      </c>
      <c r="M99" s="85">
        <f>I99/F99</f>
        <v>0</v>
      </c>
    </row>
    <row r="100" spans="1:14" ht="9" customHeight="1">
      <c r="A100" s="6"/>
      <c r="B100" s="54"/>
      <c r="C100" s="6"/>
      <c r="D100" s="63"/>
      <c r="E100" s="18"/>
      <c r="F100" s="16"/>
      <c r="G100" s="1"/>
      <c r="K100" s="46"/>
      <c r="L100"/>
      <c r="M100" s="80"/>
    </row>
    <row r="101" spans="1:14" s="1" customFormat="1">
      <c r="A101" s="91">
        <f>F101/F11</f>
        <v>0.74788107677804827</v>
      </c>
      <c r="B101" s="54"/>
      <c r="C101" s="6" t="s">
        <v>25</v>
      </c>
      <c r="D101" s="52"/>
      <c r="E101"/>
      <c r="F101" s="7">
        <f>SUM(F53:F99)</f>
        <v>2503593.5</v>
      </c>
      <c r="G101" s="66"/>
      <c r="H101" s="65"/>
      <c r="I101" s="106">
        <f>SUM(I55:I99)</f>
        <v>1119822.0299999998</v>
      </c>
      <c r="K101" s="37">
        <f>SUM(K54:K97)</f>
        <v>1378771.4699999997</v>
      </c>
      <c r="L101" s="28"/>
      <c r="M101" s="109">
        <f>I101/F101</f>
        <v>0.44728588327138563</v>
      </c>
      <c r="N101" s="20"/>
    </row>
    <row r="102" spans="1:14" s="1" customFormat="1" ht="9" customHeight="1">
      <c r="A102" s="93"/>
      <c r="B102" s="54"/>
      <c r="C102" s="6"/>
      <c r="D102" s="52"/>
      <c r="E102"/>
      <c r="F102" s="28"/>
      <c r="G102" s="56"/>
      <c r="H102" s="83"/>
      <c r="I102" s="100"/>
      <c r="K102" s="47"/>
      <c r="L102" s="28"/>
      <c r="M102" s="80"/>
      <c r="N102" s="20"/>
    </row>
    <row r="103" spans="1:14" ht="6.75" customHeight="1">
      <c r="A103" s="93"/>
      <c r="B103" s="6"/>
      <c r="C103" s="6"/>
      <c r="D103" s="6"/>
      <c r="E103" s="6"/>
      <c r="F103" s="16"/>
      <c r="G103" s="1"/>
      <c r="K103"/>
      <c r="L103"/>
      <c r="M103" s="80"/>
    </row>
    <row r="104" spans="1:14" s="1" customFormat="1" ht="12.75">
      <c r="A104" s="94">
        <f>SUM(F104/F11)</f>
        <v>1.5648684443420238E-2</v>
      </c>
      <c r="B104" s="8" t="s">
        <v>56</v>
      </c>
      <c r="D104" s="6"/>
      <c r="E104" s="6"/>
      <c r="F104" s="47">
        <v>52385.26</v>
      </c>
      <c r="H104" s="23"/>
      <c r="I104" s="100"/>
      <c r="K104" s="80">
        <f>F104-I104</f>
        <v>52385.26</v>
      </c>
      <c r="L104" s="11"/>
      <c r="M104" s="85">
        <f>I104/F104</f>
        <v>0</v>
      </c>
      <c r="N104" s="20"/>
    </row>
    <row r="105" spans="1:14" s="1" customFormat="1" ht="9" customHeight="1">
      <c r="A105" s="77"/>
      <c r="B105" s="8"/>
      <c r="D105" s="6"/>
      <c r="E105" s="6"/>
      <c r="F105" s="47"/>
      <c r="H105" s="23"/>
      <c r="I105" s="100"/>
      <c r="K105" s="23"/>
      <c r="L105" s="11"/>
      <c r="M105" s="80"/>
      <c r="N105" s="20"/>
    </row>
    <row r="106" spans="1:14" s="1" customFormat="1" ht="6" customHeight="1">
      <c r="A106" s="6"/>
      <c r="B106" s="6"/>
      <c r="C106" s="6"/>
      <c r="D106" s="6"/>
      <c r="E106" s="6"/>
      <c r="F106" s="55"/>
      <c r="H106" s="23"/>
      <c r="I106" s="104"/>
      <c r="K106" s="36"/>
      <c r="L106" s="36"/>
      <c r="M106" s="80"/>
      <c r="N106" s="20"/>
    </row>
    <row r="107" spans="1:14" s="1" customFormat="1" ht="12.75">
      <c r="B107" s="70" t="s">
        <v>21</v>
      </c>
      <c r="D107" s="6"/>
      <c r="E107" s="6"/>
      <c r="F107" s="71">
        <f>F33+F49+F101+F104</f>
        <v>3347582.36</v>
      </c>
      <c r="G107" s="34"/>
      <c r="H107" s="34"/>
      <c r="I107" s="106">
        <f>I33+I49+I101+I104</f>
        <v>1521206.8699999996</v>
      </c>
      <c r="J107" s="56"/>
      <c r="K107" s="88">
        <f>K33+K49+K101+K104</f>
        <v>1821375.4899999998</v>
      </c>
      <c r="L107"/>
      <c r="M107" s="109">
        <f>I107/F107</f>
        <v>0.45441955011377216</v>
      </c>
      <c r="N107" s="20"/>
    </row>
    <row r="108" spans="1:14" s="1" customFormat="1" ht="6.75" customHeight="1">
      <c r="I108" s="105"/>
      <c r="K108" s="33"/>
      <c r="L108" s="33"/>
      <c r="M108" s="80"/>
      <c r="N108" s="50"/>
    </row>
    <row r="109" spans="1:14" s="1" customFormat="1" ht="11.25" customHeight="1">
      <c r="A109" s="49"/>
      <c r="B109" s="49"/>
      <c r="C109" s="3"/>
      <c r="D109" s="13"/>
      <c r="I109" s="100"/>
      <c r="K109" s="29"/>
      <c r="L109" s="29"/>
      <c r="M109" s="80"/>
      <c r="N109" s="20"/>
    </row>
    <row r="110" spans="1:14" s="1" customFormat="1">
      <c r="A110" s="3" t="s">
        <v>100</v>
      </c>
      <c r="B110" s="3"/>
      <c r="C110" s="3"/>
      <c r="D110" s="13"/>
      <c r="I110" s="107">
        <f>341177.98+225+364221.29+447459.15+439849.75+10237.5+374320.14+245909.43+10237.5+170735.03+194574.4+180761.76</f>
        <v>2779708.9299999997</v>
      </c>
      <c r="K110" s="29"/>
      <c r="L110" s="29"/>
      <c r="M110" s="80"/>
      <c r="N110" s="20"/>
    </row>
    <row r="111" spans="1:14" s="1" customFormat="1">
      <c r="A111" s="49"/>
      <c r="B111" s="4" t="s">
        <v>101</v>
      </c>
      <c r="C111" s="3"/>
      <c r="D111" s="13"/>
      <c r="I111" s="107">
        <f>-I107</f>
        <v>-1521206.8699999996</v>
      </c>
      <c r="K111" s="29"/>
      <c r="L111" s="29"/>
      <c r="M111" s="11"/>
      <c r="N111" s="20"/>
    </row>
    <row r="112" spans="1:14" s="1" customFormat="1">
      <c r="A112" s="49"/>
      <c r="B112" s="49" t="s">
        <v>24</v>
      </c>
      <c r="C112" s="3"/>
      <c r="D112" s="13"/>
      <c r="I112" s="108">
        <f>-10237.5-10237.5</f>
        <v>-20475</v>
      </c>
      <c r="K112" s="29"/>
      <c r="L112" s="29"/>
      <c r="M112" s="11"/>
      <c r="N112" s="20"/>
    </row>
    <row r="113" spans="1:14" s="1" customFormat="1" ht="7.5" customHeight="1">
      <c r="A113" s="52"/>
      <c r="B113" s="52"/>
      <c r="C113" s="52"/>
      <c r="D113" s="52"/>
      <c r="E113" s="52"/>
      <c r="F113" s="52"/>
      <c r="G113" s="52"/>
      <c r="H113" s="52"/>
      <c r="I113" s="53"/>
      <c r="N113" s="20"/>
    </row>
    <row r="114" spans="1:14" s="1" customFormat="1">
      <c r="A114" s="1" t="s">
        <v>53</v>
      </c>
      <c r="D114" s="13"/>
      <c r="I114" s="106">
        <f>SUM(I110:I112)</f>
        <v>1238027.06</v>
      </c>
      <c r="N114" s="20"/>
    </row>
    <row r="115" spans="1:14" s="1" customFormat="1">
      <c r="D115" s="13"/>
      <c r="I115" s="100"/>
      <c r="N115" s="20"/>
    </row>
    <row r="116" spans="1:14" s="1" customFormat="1">
      <c r="D116" s="13"/>
      <c r="I116" s="100"/>
      <c r="N116" s="20"/>
    </row>
    <row r="117" spans="1:14" s="1" customFormat="1">
      <c r="D117" s="13"/>
      <c r="I117" s="100"/>
      <c r="N117" s="20"/>
    </row>
    <row r="118" spans="1:14" s="1" customFormat="1">
      <c r="D118" s="13"/>
      <c r="I118" s="100"/>
      <c r="N118" s="20"/>
    </row>
    <row r="119" spans="1:14" s="1" customFormat="1">
      <c r="D119" s="13"/>
      <c r="I119" s="100"/>
      <c r="N119" s="20"/>
    </row>
    <row r="120" spans="1:14" s="1" customFormat="1">
      <c r="D120" s="13"/>
      <c r="I120" s="100"/>
      <c r="N120" s="20"/>
    </row>
    <row r="121" spans="1:14" s="1" customFormat="1">
      <c r="D121" s="13"/>
      <c r="I121" s="100"/>
      <c r="N121" s="20"/>
    </row>
    <row r="122" spans="1:14" s="1" customFormat="1">
      <c r="D122" s="13"/>
      <c r="I122" s="100"/>
      <c r="N122" s="20"/>
    </row>
    <row r="123" spans="1:14" s="1" customFormat="1">
      <c r="D123" s="13"/>
      <c r="I123" s="100"/>
      <c r="N123" s="20"/>
    </row>
    <row r="124" spans="1:14" s="1" customFormat="1">
      <c r="A124" s="110" t="str">
        <f>"-4-"</f>
        <v>-4-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20"/>
    </row>
    <row r="125" spans="1:14" s="1" customFormat="1">
      <c r="A125" s="6"/>
      <c r="B125" s="6"/>
      <c r="C125" s="6"/>
      <c r="D125" s="6"/>
      <c r="E125" s="6"/>
      <c r="F125" s="30"/>
      <c r="I125" s="48"/>
      <c r="N125" s="20"/>
    </row>
    <row r="131" spans="6:6">
      <c r="F131" s="5" t="s">
        <v>3</v>
      </c>
    </row>
  </sheetData>
  <mergeCells count="3">
    <mergeCell ref="A124:M124"/>
    <mergeCell ref="A4:M4"/>
    <mergeCell ref="A66:M66"/>
  </mergeCells>
  <phoneticPr fontId="5"/>
  <pageMargins left="0.63" right="0.36" top="0.5" bottom="0" header="0.5" footer="0.2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C26" sqref="C26"/>
    </sheetView>
  </sheetViews>
  <sheetFormatPr defaultRowHeight="12"/>
  <sheetData>
    <row r="1" spans="1:3">
      <c r="A1" t="s">
        <v>76</v>
      </c>
    </row>
    <row r="2" spans="1:3">
      <c r="A2" t="s">
        <v>70</v>
      </c>
      <c r="C2">
        <v>50000</v>
      </c>
    </row>
    <row r="3" spans="1:3">
      <c r="A3" s="89"/>
    </row>
    <row r="4" spans="1:3">
      <c r="A4" t="s">
        <v>71</v>
      </c>
      <c r="C4">
        <v>20000</v>
      </c>
    </row>
    <row r="6" spans="1:3">
      <c r="A6" s="90" t="s">
        <v>77</v>
      </c>
      <c r="C6">
        <v>7500</v>
      </c>
    </row>
    <row r="8" spans="1:3">
      <c r="A8" t="s">
        <v>78</v>
      </c>
      <c r="C8">
        <v>15000</v>
      </c>
    </row>
    <row r="10" spans="1:3">
      <c r="A10" t="s">
        <v>72</v>
      </c>
      <c r="C10">
        <v>2000</v>
      </c>
    </row>
    <row r="12" spans="1:3">
      <c r="A12" t="s">
        <v>73</v>
      </c>
      <c r="C12">
        <v>3000</v>
      </c>
    </row>
    <row r="14" spans="1:3">
      <c r="A14" t="s">
        <v>79</v>
      </c>
      <c r="C14">
        <v>2500</v>
      </c>
    </row>
    <row r="16" spans="1:3">
      <c r="A16" t="s">
        <v>74</v>
      </c>
      <c r="C16">
        <v>6000</v>
      </c>
    </row>
    <row r="18" spans="1:3">
      <c r="A18" t="s">
        <v>75</v>
      </c>
      <c r="C18">
        <v>3000</v>
      </c>
    </row>
    <row r="20" spans="1:3">
      <c r="A20" t="s">
        <v>82</v>
      </c>
      <c r="C20">
        <v>8500</v>
      </c>
    </row>
    <row r="22" spans="1:3">
      <c r="A22" t="s">
        <v>80</v>
      </c>
      <c r="C22">
        <v>1500</v>
      </c>
    </row>
    <row r="24" spans="1:3">
      <c r="A24" t="s">
        <v>81</v>
      </c>
      <c r="C24">
        <v>7200</v>
      </c>
    </row>
    <row r="26" spans="1:3">
      <c r="C26">
        <f>SUM(C2:C24)</f>
        <v>126200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ITC.STWDE.FY12-PROJ</vt:lpstr>
      <vt:lpstr>Sheet1</vt:lpstr>
      <vt:lpstr>'ITC.STWDE.FY12-PROJ'!Print_Area</vt:lpstr>
      <vt:lpstr>'ITC.STWDE.FY12-PROJ'!Print_Titles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Commerce</dc:creator>
  <cp:lastModifiedBy>lzuckerman</cp:lastModifiedBy>
  <cp:lastPrinted>2013-03-19T18:42:15Z</cp:lastPrinted>
  <dcterms:created xsi:type="dcterms:W3CDTF">1999-04-21T23:50:03Z</dcterms:created>
  <dcterms:modified xsi:type="dcterms:W3CDTF">2013-03-19T18:46:18Z</dcterms:modified>
</cp:coreProperties>
</file>